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arifa plana" sheetId="1" r:id="rId1"/>
    <sheet name="Comparativa por años" sheetId="2" r:id="rId2"/>
  </sheets>
  <calcPr calcId="124519"/>
</workbook>
</file>

<file path=xl/calcChain.xml><?xml version="1.0" encoding="utf-8"?>
<calcChain xmlns="http://schemas.openxmlformats.org/spreadsheetml/2006/main">
  <c r="G3" i="1"/>
  <c r="S49" s="1"/>
  <c r="E22"/>
  <c r="D4" i="2" s="1"/>
  <c r="E23" i="1"/>
  <c r="Q49"/>
  <c r="Q48"/>
  <c r="Q47"/>
  <c r="E18"/>
  <c r="G22" l="1"/>
  <c r="S47"/>
  <c r="S48"/>
  <c r="U49"/>
  <c r="I22" s="1"/>
  <c r="U48"/>
  <c r="F26"/>
  <c r="H13"/>
  <c r="D6" i="2" l="1"/>
  <c r="R42" i="1"/>
  <c r="P42"/>
  <c r="P43"/>
  <c r="P41"/>
  <c r="S35"/>
  <c r="S36"/>
  <c r="S37"/>
  <c r="S38"/>
  <c r="S39"/>
  <c r="R35"/>
  <c r="T35" s="1"/>
  <c r="R36"/>
  <c r="T36" s="1"/>
  <c r="R37"/>
  <c r="T37" s="1"/>
  <c r="R38"/>
  <c r="T38" s="1"/>
  <c r="U38" s="1"/>
  <c r="R39"/>
  <c r="T39" s="1"/>
  <c r="Q29"/>
  <c r="S29" s="1"/>
  <c r="Q30"/>
  <c r="S30" s="1"/>
  <c r="Q31"/>
  <c r="Q32"/>
  <c r="S32" s="1"/>
  <c r="Q33"/>
  <c r="S33" s="1"/>
  <c r="Q34"/>
  <c r="S34" s="1"/>
  <c r="Q28"/>
  <c r="Q23"/>
  <c r="Q22"/>
  <c r="P23"/>
  <c r="P22"/>
  <c r="H3"/>
  <c r="K17"/>
  <c r="F3"/>
  <c r="Q43" s="1"/>
  <c r="K15"/>
  <c r="L17"/>
  <c r="C7" i="2" s="1"/>
  <c r="L16" i="1"/>
  <c r="K16"/>
  <c r="Q7"/>
  <c r="Q8"/>
  <c r="R8" s="1"/>
  <c r="S8" s="1"/>
  <c r="Q9"/>
  <c r="Q10"/>
  <c r="Q11"/>
  <c r="Q12"/>
  <c r="Q13"/>
  <c r="Q14"/>
  <c r="Q15"/>
  <c r="R15" s="1"/>
  <c r="S15" s="1"/>
  <c r="Q16"/>
  <c r="Q17"/>
  <c r="Q6"/>
  <c r="F18" s="1"/>
  <c r="U36" l="1"/>
  <c r="U37"/>
  <c r="S31"/>
  <c r="H23" s="1"/>
  <c r="F23"/>
  <c r="U43"/>
  <c r="V47"/>
  <c r="V49"/>
  <c r="J22" s="1"/>
  <c r="D7" i="2" s="1"/>
  <c r="E7" s="1"/>
  <c r="V48" i="1"/>
  <c r="U39"/>
  <c r="U35"/>
  <c r="U41"/>
  <c r="G17"/>
  <c r="T48"/>
  <c r="R48"/>
  <c r="R47"/>
  <c r="T49"/>
  <c r="H22" s="1"/>
  <c r="R49"/>
  <c r="Q42"/>
  <c r="E17"/>
  <c r="R31"/>
  <c r="R28"/>
  <c r="T28" s="1"/>
  <c r="R32"/>
  <c r="T32" s="1"/>
  <c r="U32" s="1"/>
  <c r="S28"/>
  <c r="R33"/>
  <c r="T33" s="1"/>
  <c r="U33" s="1"/>
  <c r="R29"/>
  <c r="T29" s="1"/>
  <c r="U29" s="1"/>
  <c r="Q41"/>
  <c r="R43"/>
  <c r="U42"/>
  <c r="R34"/>
  <c r="T34" s="1"/>
  <c r="U34" s="1"/>
  <c r="R30"/>
  <c r="T30" s="1"/>
  <c r="U30" s="1"/>
  <c r="R41"/>
  <c r="J17"/>
  <c r="H17"/>
  <c r="I17"/>
  <c r="F17"/>
  <c r="R6"/>
  <c r="T6" s="1"/>
  <c r="R11"/>
  <c r="S11" s="1"/>
  <c r="R7"/>
  <c r="S7" s="1"/>
  <c r="T15"/>
  <c r="U15" s="1"/>
  <c r="V15" s="1"/>
  <c r="W15" s="1"/>
  <c r="R16"/>
  <c r="S16" s="1"/>
  <c r="T8"/>
  <c r="U8" s="1"/>
  <c r="V8" s="1"/>
  <c r="W8" s="1"/>
  <c r="R12"/>
  <c r="S12" s="1"/>
  <c r="R17"/>
  <c r="S17" s="1"/>
  <c r="R13"/>
  <c r="S13" s="1"/>
  <c r="R9"/>
  <c r="S9" s="1"/>
  <c r="R14"/>
  <c r="S14" s="1"/>
  <c r="R10"/>
  <c r="S10" s="1"/>
  <c r="C6" i="2" l="1"/>
  <c r="E6" s="1"/>
  <c r="C5"/>
  <c r="F22" i="1"/>
  <c r="F27" s="1"/>
  <c r="E26"/>
  <c r="C4" i="2"/>
  <c r="T31" i="1"/>
  <c r="G23"/>
  <c r="T47"/>
  <c r="U47"/>
  <c r="U28"/>
  <c r="U6"/>
  <c r="S6"/>
  <c r="H18" s="1"/>
  <c r="G18"/>
  <c r="T16"/>
  <c r="U16" s="1"/>
  <c r="V16" s="1"/>
  <c r="W16" s="1"/>
  <c r="T13"/>
  <c r="U13" s="1"/>
  <c r="V13" s="1"/>
  <c r="W13" s="1"/>
  <c r="T9"/>
  <c r="U9" s="1"/>
  <c r="V9" s="1"/>
  <c r="W9" s="1"/>
  <c r="T17"/>
  <c r="U17" s="1"/>
  <c r="V17" s="1"/>
  <c r="W17" s="1"/>
  <c r="T7"/>
  <c r="U7" s="1"/>
  <c r="V7" s="1"/>
  <c r="W7" s="1"/>
  <c r="T14"/>
  <c r="U14" s="1"/>
  <c r="V14" s="1"/>
  <c r="W14" s="1"/>
  <c r="T12"/>
  <c r="U12" s="1"/>
  <c r="V12" s="1"/>
  <c r="W12" s="1"/>
  <c r="T11"/>
  <c r="U11" s="1"/>
  <c r="V11" s="1"/>
  <c r="W11" s="1"/>
  <c r="T10"/>
  <c r="U10" s="1"/>
  <c r="V10" s="1"/>
  <c r="W10" s="1"/>
  <c r="E5" i="2" l="1"/>
  <c r="C8"/>
  <c r="E8" s="1"/>
  <c r="E4"/>
  <c r="D5"/>
  <c r="D8" s="1"/>
  <c r="U31" i="1"/>
  <c r="J23" s="1"/>
  <c r="F29" s="1"/>
  <c r="I23"/>
  <c r="F28" s="1"/>
  <c r="I18"/>
  <c r="J18"/>
  <c r="V6"/>
  <c r="K18" s="1"/>
  <c r="F30" l="1"/>
  <c r="E28"/>
  <c r="E27"/>
  <c r="W6"/>
  <c r="L18" s="1"/>
  <c r="E29" s="1"/>
  <c r="E30" l="1"/>
</calcChain>
</file>

<file path=xl/comments1.xml><?xml version="1.0" encoding="utf-8"?>
<comments xmlns="http://schemas.openxmlformats.org/spreadsheetml/2006/main">
  <authors>
    <author>Carmen</author>
  </authors>
  <commentList>
    <comment ref="I8" authorId="0">
      <text>
        <r>
          <rPr>
            <b/>
            <sz val="9"/>
            <color indexed="81"/>
            <rFont val="Tahoma"/>
            <family val="2"/>
          </rPr>
          <t>Solo es optativa durante el primer tramo de tarifa plana (12 meses)</t>
        </r>
      </text>
    </comment>
  </commentList>
</comments>
</file>

<file path=xl/sharedStrings.xml><?xml version="1.0" encoding="utf-8"?>
<sst xmlns="http://schemas.openxmlformats.org/spreadsheetml/2006/main" count="66" uniqueCount="43">
  <si>
    <t>base de cotizacion</t>
  </si>
  <si>
    <t>mes de alta</t>
  </si>
  <si>
    <t>primer tramo 12 meses</t>
  </si>
  <si>
    <t>segundo tramo 6 meses</t>
  </si>
  <si>
    <t>tercer tramo 6 meses</t>
  </si>
  <si>
    <t>CC</t>
  </si>
  <si>
    <t>C. PROFESIONALES</t>
  </si>
  <si>
    <t>CESE</t>
  </si>
  <si>
    <t>FP</t>
  </si>
  <si>
    <t>cuarto tramo 12 meses</t>
  </si>
  <si>
    <t>Edad en el momento del alta</t>
  </si>
  <si>
    <t>ELEGIR COBERTURA</t>
  </si>
  <si>
    <t>Año</t>
  </si>
  <si>
    <t>Duración (meses)</t>
  </si>
  <si>
    <t>Cuota (€)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</si>
  <si>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</si>
  <si>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</si>
  <si>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</si>
  <si>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</si>
  <si>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</si>
  <si>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</si>
  <si>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</si>
  <si>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</si>
  <si>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</si>
  <si>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</si>
  <si>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</si>
  <si>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</si>
  <si>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</si>
  <si>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cotizacion elegida 2019</t>
  </si>
  <si>
    <t>cotizacion elegida 2020</t>
  </si>
  <si>
    <t>primer tramo 18 meses</t>
  </si>
  <si>
    <t>segundo tramo 18 meses</t>
  </si>
  <si>
    <t>Porcentaje jornada cuenta ajena</t>
  </si>
  <si>
    <t>&lt;50%</t>
  </si>
  <si>
    <t>TARIFA PLANA</t>
  </si>
  <si>
    <t>PLURIACTIVIDAD</t>
  </si>
  <si>
    <t>&gt;=50%&lt;100%</t>
  </si>
  <si>
    <t>100%</t>
  </si>
  <si>
    <t xml:space="preserve">TOTAL </t>
  </si>
  <si>
    <t>tarifa plana</t>
  </si>
  <si>
    <t>pluriactividad</t>
  </si>
  <si>
    <t>Total</t>
  </si>
  <si>
    <t>diferencia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</si>
</sst>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1D9B2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sz val="10"/>
      <color theme="1" tint="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AFF"/>
        <bgColor indexed="64"/>
      </patternFill>
    </fill>
    <fill>
      <patternFill patternType="solid">
        <fgColor rgb="FFDDFCD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CFD7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0" fillId="2" borderId="0" xfId="0" applyFill="1"/>
    <xf numFmtId="0" fontId="0" fillId="2" borderId="1" xfId="0" applyFill="1" applyBorder="1"/>
    <xf numFmtId="10" fontId="0" fillId="2" borderId="1" xfId="2" applyNumberFormat="1" applyFont="1" applyFill="1" applyBorder="1"/>
    <xf numFmtId="10" fontId="0" fillId="2" borderId="1" xfId="2" applyNumberFormat="1" applyFont="1" applyFill="1" applyBorder="1" applyProtection="1">
      <protection locked="0"/>
    </xf>
    <xf numFmtId="10" fontId="0" fillId="0" borderId="1" xfId="2" applyNumberFormat="1" applyFont="1" applyBorder="1"/>
    <xf numFmtId="0" fontId="0" fillId="2" borderId="0" xfId="0" applyFill="1" applyBorder="1" applyAlignment="1">
      <alignment horizontal="center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/>
    <xf numFmtId="0" fontId="0" fillId="5" borderId="1" xfId="0" applyFill="1" applyBorder="1" applyAlignment="1" applyProtection="1">
      <alignment horizontal="center"/>
      <protection locked="0"/>
    </xf>
    <xf numFmtId="0" fontId="0" fillId="2" borderId="4" xfId="0" applyFill="1" applyBorder="1"/>
    <xf numFmtId="10" fontId="2" fillId="2" borderId="1" xfId="2" applyNumberFormat="1" applyFont="1" applyFill="1" applyBorder="1"/>
    <xf numFmtId="0" fontId="5" fillId="2" borderId="0" xfId="0" applyFont="1" applyFill="1" applyBorder="1"/>
    <xf numFmtId="44" fontId="0" fillId="2" borderId="4" xfId="1" applyFont="1" applyFill="1" applyBorder="1"/>
    <xf numFmtId="44" fontId="0" fillId="2" borderId="1" xfId="1" applyFont="1" applyFill="1" applyBorder="1"/>
    <xf numFmtId="44" fontId="4" fillId="4" borderId="1" xfId="1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Alignment="1" applyProtection="1">
      <alignment horizontal="left"/>
      <protection locked="0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4" fontId="8" fillId="7" borderId="1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/>
    <xf numFmtId="0" fontId="0" fillId="2" borderId="0" xfId="0" applyFill="1" applyAlignment="1">
      <alignment horizontal="left"/>
    </xf>
    <xf numFmtId="0" fontId="0" fillId="3" borderId="0" xfId="0" applyFill="1" applyBorder="1" applyAlignment="1">
      <alignment horizontal="left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9" fontId="4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left"/>
      <protection locked="0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0" fillId="2" borderId="6" xfId="0" applyFill="1" applyBorder="1"/>
    <xf numFmtId="44" fontId="12" fillId="2" borderId="7" xfId="0" applyNumberFormat="1" applyFont="1" applyFill="1" applyBorder="1"/>
    <xf numFmtId="0" fontId="11" fillId="9" borderId="7" xfId="0" applyFont="1" applyFill="1" applyBorder="1"/>
    <xf numFmtId="0" fontId="0" fillId="2" borderId="8" xfId="0" applyFill="1" applyBorder="1"/>
    <xf numFmtId="0" fontId="11" fillId="10" borderId="7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9" fillId="8" borderId="0" xfId="0" applyFont="1" applyFill="1" applyBorder="1"/>
    <xf numFmtId="10" fontId="9" fillId="8" borderId="0" xfId="0" applyNumberFormat="1" applyFont="1" applyFill="1" applyBorder="1"/>
    <xf numFmtId="44" fontId="9" fillId="8" borderId="0" xfId="1" applyFont="1" applyFill="1" applyBorder="1"/>
    <xf numFmtId="0" fontId="9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2" fontId="9" fillId="8" borderId="0" xfId="0" applyNumberFormat="1" applyFont="1" applyFill="1" applyBorder="1"/>
    <xf numFmtId="44" fontId="9" fillId="8" borderId="0" xfId="0" applyNumberFormat="1" applyFont="1" applyFill="1" applyBorder="1"/>
    <xf numFmtId="0" fontId="9" fillId="2" borderId="0" xfId="0" applyFont="1" applyFill="1"/>
    <xf numFmtId="0" fontId="9" fillId="2" borderId="0" xfId="0" applyFont="1" applyFill="1" applyBorder="1" applyAlignment="1">
      <alignment horizontal="center"/>
    </xf>
    <xf numFmtId="10" fontId="9" fillId="2" borderId="0" xfId="2" applyNumberFormat="1" applyFont="1" applyFill="1" applyBorder="1"/>
    <xf numFmtId="44" fontId="13" fillId="2" borderId="7" xfId="0" applyNumberFormat="1" applyFont="1" applyFill="1" applyBorder="1"/>
    <xf numFmtId="44" fontId="14" fillId="2" borderId="7" xfId="0" applyNumberFormat="1" applyFont="1" applyFill="1" applyBorder="1"/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  <colors>
    <mruColors>
      <color rgb="FFEEEEEE"/>
      <color rgb="FFD7D7D7"/>
      <color rgb="FFFEE6EA"/>
      <color rgb="FFFDCFD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9"/>
  <c:chart>
    <c:title>
      <c:tx>
        <c:rich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r>
              <a:rPr lang="es-ES">
                <a:solidFill>
                  <a:schemeClr val="tx1">
                    <a:lumMod val="50000"/>
                    <a:lumOff val="50000"/>
                  </a:schemeClr>
                </a:solidFill>
              </a:rPr>
              <a:t>Comparativa tarifa plana - pluriactividad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'Comparativa por años'!$C$3</c:f>
              <c:strCache>
                <c:ptCount val="1"/>
                <c:pt idx="0">
                  <c:v>tarifa plana</c:v>
                </c:pt>
              </c:strCache>
            </c:strRef>
          </c:tx>
          <c:cat>
            <c:numRef>
              <c:f>'Comparativa por años'!$B$4:$B$7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'Comparativa por años'!$C$4:$C$7</c:f>
              <c:numCache>
                <c:formatCode>_-* #,##0.00\ "€"_-;\-* #,##0.00\ "€"_-;_-* "-"??\ "€"_-;_-@_-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'Comparativa por años'!$D$3</c:f>
              <c:strCache>
                <c:ptCount val="1"/>
                <c:pt idx="0">
                  <c:v>pluriactividad</c:v>
                </c:pt>
              </c:strCache>
            </c:strRef>
          </c:tx>
          <c:cat>
            <c:numRef>
              <c:f>'Comparativa por años'!$B$4:$B$7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'Comparativa por años'!$D$4:$D$7</c:f>
              <c:numCache>
                <c:formatCode>_-* #,##0.00\ "€"_-;\-* #,##0.00\ "€"_-;_-* "-"??\ "€"_-;_-@_-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</c:ser>
        <c:dLbls/>
        <c:gapWidth val="75"/>
        <c:axId val="86030208"/>
        <c:axId val="86192896"/>
      </c:barChart>
      <c:catAx>
        <c:axId val="86030208"/>
        <c:scaling>
          <c:orientation val="minMax"/>
        </c:scaling>
        <c:axPos val="b"/>
        <c:numFmt formatCode="General" sourceLinked="1"/>
        <c:majorTickMark val="none"/>
        <c:tickLblPos val="nextTo"/>
        <c:crossAx val="86192896"/>
        <c:crosses val="autoZero"/>
        <c:auto val="1"/>
        <c:lblAlgn val="ctr"/>
        <c:lblOffset val="100"/>
      </c:catAx>
      <c:valAx>
        <c:axId val="86192896"/>
        <c:scaling>
          <c:orientation val="minMax"/>
        </c:scaling>
        <c:axPos val="l"/>
        <c:majorGridlines/>
        <c:numFmt formatCode="_-* #,##0.00\ &quot;€&quot;_-;\-* #,##0.00\ &quot;€&quot;_-;_-* &quot;-&quot;??\ &quot;€&quot;_-;_-@_-" sourceLinked="1"/>
        <c:majorTickMark val="none"/>
        <c:tickLblPos val="nextTo"/>
        <c:crossAx val="8603020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47625</xdr:rowOff>
    </xdr:from>
    <xdr:to>
      <xdr:col>15</xdr:col>
      <xdr:colOff>400050</xdr:colOff>
      <xdr:row>21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4"/>
  <sheetViews>
    <sheetView tabSelected="1" workbookViewId="0">
      <selection activeCell="E3" sqref="E3"/>
    </sheetView>
  </sheetViews>
  <sheetFormatPr baseColWidth="10" defaultRowHeight="15"/>
  <cols>
    <col min="1" max="1" width="2.85546875" style="21" customWidth="1"/>
    <col min="2" max="2" width="11" style="2" customWidth="1"/>
    <col min="3" max="3" width="18.140625" style="1" customWidth="1"/>
    <col min="4" max="4" width="11.28515625" style="1" customWidth="1"/>
    <col min="5" max="7" width="11.42578125" style="1" customWidth="1"/>
    <col min="8" max="8" width="11.42578125" style="2" customWidth="1"/>
    <col min="9" max="10" width="12.5703125" style="2" customWidth="1"/>
    <col min="11" max="12" width="12.5703125" style="1" customWidth="1"/>
    <col min="13" max="13" width="11.42578125" style="22" customWidth="1"/>
    <col min="14" max="23" width="11.42578125" style="24" hidden="1" customWidth="1"/>
    <col min="24" max="24" width="0" style="56" hidden="1" customWidth="1"/>
    <col min="25" max="16384" width="11.42578125" style="1"/>
  </cols>
  <sheetData>
    <row r="1" spans="1:24" s="2" customFormat="1">
      <c r="A1" s="21"/>
      <c r="M1" s="22"/>
      <c r="N1" s="24"/>
      <c r="O1" s="24"/>
      <c r="P1" s="24"/>
      <c r="Q1" s="24"/>
      <c r="R1" s="24"/>
      <c r="S1" s="24"/>
      <c r="T1" s="24"/>
      <c r="U1" s="24"/>
      <c r="V1" s="24"/>
      <c r="W1" s="24"/>
      <c r="X1" s="56"/>
    </row>
    <row r="2" spans="1:24">
      <c r="E2" s="18">
        <v>2019</v>
      </c>
      <c r="F2" s="18">
        <v>2020</v>
      </c>
      <c r="G2" s="18">
        <v>2021</v>
      </c>
      <c r="H2" s="18">
        <v>2022</v>
      </c>
    </row>
    <row r="3" spans="1:24" ht="13.5" customHeight="1">
      <c r="C3" s="29" t="s">
        <v>0</v>
      </c>
      <c r="D3" s="29"/>
      <c r="E3" s="16"/>
      <c r="F3" s="16">
        <f>+E3</f>
        <v>0</v>
      </c>
      <c r="G3" s="16">
        <f>+E3</f>
        <v>0</v>
      </c>
      <c r="H3" s="16">
        <f>+E3</f>
        <v>0</v>
      </c>
    </row>
    <row r="4" spans="1:24" ht="13.5" customHeight="1">
      <c r="C4" s="29" t="s">
        <v>1</v>
      </c>
      <c r="D4" s="29"/>
      <c r="E4" s="17"/>
      <c r="P4" s="57" t="s">
        <v>2</v>
      </c>
      <c r="Q4" s="57"/>
      <c r="R4" s="57" t="s">
        <v>3</v>
      </c>
      <c r="S4" s="57"/>
      <c r="T4" s="24" t="s">
        <v>4</v>
      </c>
      <c r="V4" s="57" t="s">
        <v>9</v>
      </c>
      <c r="W4" s="57"/>
    </row>
    <row r="5" spans="1:24" ht="13.5" customHeight="1">
      <c r="C5" s="29" t="s">
        <v>10</v>
      </c>
      <c r="D5" s="29"/>
      <c r="E5" s="35"/>
      <c r="F5" s="35"/>
      <c r="P5" s="24">
        <v>2019</v>
      </c>
      <c r="Q5" s="24">
        <v>2020</v>
      </c>
      <c r="R5" s="24">
        <v>2020</v>
      </c>
      <c r="S5" s="24">
        <v>2021</v>
      </c>
      <c r="T5" s="24">
        <v>2020</v>
      </c>
      <c r="U5" s="24">
        <v>2021</v>
      </c>
      <c r="V5" s="24">
        <v>2011</v>
      </c>
      <c r="W5" s="24">
        <v>2022</v>
      </c>
    </row>
    <row r="6" spans="1:24">
      <c r="C6" s="29" t="s">
        <v>32</v>
      </c>
      <c r="D6" s="29"/>
      <c r="E6" s="30"/>
      <c r="F6" s="30"/>
      <c r="G6" s="21"/>
      <c r="H6" s="21"/>
      <c r="I6" s="21"/>
      <c r="J6" s="21"/>
      <c r="K6" s="21"/>
      <c r="L6" s="21"/>
      <c r="N6" s="24" t="s">
        <v>16</v>
      </c>
      <c r="O6" s="24">
        <v>1</v>
      </c>
      <c r="P6" s="24">
        <v>12</v>
      </c>
      <c r="Q6" s="24">
        <f>12-P6</f>
        <v>0</v>
      </c>
      <c r="R6" s="24">
        <f>IF((Q6+6)&gt;12,(12-Q6),6)</f>
        <v>6</v>
      </c>
      <c r="S6" s="24">
        <f>6-R6</f>
        <v>0</v>
      </c>
      <c r="T6" s="24">
        <f>IF((Q6+R6)&lt;12,(12-Q6-R6),0)</f>
        <v>6</v>
      </c>
      <c r="U6" s="24">
        <f>6-T6</f>
        <v>0</v>
      </c>
      <c r="V6" s="24">
        <f>IF((S6+U6)&lt;12,12-S6-U6,0)</f>
        <v>12</v>
      </c>
      <c r="W6" s="24">
        <f>12-V6</f>
        <v>0</v>
      </c>
    </row>
    <row r="7" spans="1:24" ht="26.25" customHeight="1">
      <c r="N7" s="24" t="s">
        <v>17</v>
      </c>
      <c r="O7" s="24">
        <v>2</v>
      </c>
      <c r="P7" s="24">
        <v>11</v>
      </c>
      <c r="Q7" s="24">
        <f t="shared" ref="Q7:Q17" si="0">12-P7</f>
        <v>1</v>
      </c>
      <c r="R7" s="24">
        <f t="shared" ref="R7:R17" si="1">IF((Q7+6)&gt;12,(12-Q7),6)</f>
        <v>6</v>
      </c>
      <c r="S7" s="24">
        <f t="shared" ref="S7:S17" si="2">6-R7</f>
        <v>0</v>
      </c>
      <c r="T7" s="24">
        <f t="shared" ref="T7:T17" si="3">IF((Q7+R7)&lt;12,(12-Q7-R7),0)</f>
        <v>5</v>
      </c>
      <c r="U7" s="24">
        <f t="shared" ref="U7:U17" si="4">6-T7</f>
        <v>1</v>
      </c>
      <c r="V7" s="24">
        <f t="shared" ref="V7:V17" si="5">IF((S7+U7)&lt;12,12-S7-U7,0)</f>
        <v>11</v>
      </c>
      <c r="W7" s="24">
        <f t="shared" ref="W7:W17" si="6">12-V7</f>
        <v>1</v>
      </c>
    </row>
    <row r="8" spans="1:24" ht="16.5" customHeight="1">
      <c r="C8" s="25"/>
      <c r="D8" s="26"/>
      <c r="E8" s="19">
        <v>2019</v>
      </c>
      <c r="F8" s="19">
        <v>2020</v>
      </c>
      <c r="G8" s="19">
        <v>2021</v>
      </c>
      <c r="H8" s="19">
        <v>2022</v>
      </c>
      <c r="I8" s="23" t="s">
        <v>11</v>
      </c>
      <c r="J8" s="7"/>
      <c r="N8" s="24" t="s">
        <v>18</v>
      </c>
      <c r="O8" s="24">
        <v>3</v>
      </c>
      <c r="P8" s="24">
        <v>10</v>
      </c>
      <c r="Q8" s="24">
        <f t="shared" si="0"/>
        <v>2</v>
      </c>
      <c r="R8" s="24">
        <f t="shared" si="1"/>
        <v>6</v>
      </c>
      <c r="S8" s="24">
        <f t="shared" si="2"/>
        <v>0</v>
      </c>
      <c r="T8" s="24">
        <f t="shared" si="3"/>
        <v>4</v>
      </c>
      <c r="U8" s="24">
        <f t="shared" si="4"/>
        <v>2</v>
      </c>
      <c r="V8" s="24">
        <f t="shared" si="5"/>
        <v>10</v>
      </c>
      <c r="W8" s="24">
        <f t="shared" si="6"/>
        <v>2</v>
      </c>
    </row>
    <row r="9" spans="1:24">
      <c r="C9" s="29" t="s">
        <v>5</v>
      </c>
      <c r="D9" s="29"/>
      <c r="E9" s="4">
        <v>0.28299999999999997</v>
      </c>
      <c r="F9" s="6">
        <v>0.28299999999999997</v>
      </c>
      <c r="G9" s="6">
        <v>0.28299999999999997</v>
      </c>
      <c r="H9" s="6">
        <v>0.28299999999999997</v>
      </c>
      <c r="I9" s="10"/>
      <c r="N9" s="24" t="s">
        <v>19</v>
      </c>
      <c r="O9" s="24">
        <v>4</v>
      </c>
      <c r="P9" s="24">
        <v>9</v>
      </c>
      <c r="Q9" s="24">
        <f t="shared" si="0"/>
        <v>3</v>
      </c>
      <c r="R9" s="24">
        <f t="shared" si="1"/>
        <v>6</v>
      </c>
      <c r="S9" s="24">
        <f t="shared" si="2"/>
        <v>0</v>
      </c>
      <c r="T9" s="24">
        <f t="shared" si="3"/>
        <v>3</v>
      </c>
      <c r="U9" s="24">
        <f t="shared" si="4"/>
        <v>3</v>
      </c>
      <c r="V9" s="24">
        <f t="shared" si="5"/>
        <v>9</v>
      </c>
      <c r="W9" s="24">
        <f t="shared" si="6"/>
        <v>3</v>
      </c>
    </row>
    <row r="10" spans="1:24">
      <c r="C10" s="36" t="s">
        <v>6</v>
      </c>
      <c r="D10" s="37"/>
      <c r="E10" s="4">
        <v>8.9999999999999993E-3</v>
      </c>
      <c r="F10" s="6">
        <v>1.0999999999999999E-2</v>
      </c>
      <c r="G10" s="6">
        <v>1.2999999999999999E-2</v>
      </c>
      <c r="H10" s="6">
        <v>1.7000000000000001E-2</v>
      </c>
      <c r="I10" s="10"/>
      <c r="N10" s="24" t="s">
        <v>20</v>
      </c>
      <c r="O10" s="24">
        <v>5</v>
      </c>
      <c r="P10" s="24">
        <v>8</v>
      </c>
      <c r="Q10" s="24">
        <f t="shared" si="0"/>
        <v>4</v>
      </c>
      <c r="R10" s="24">
        <f t="shared" si="1"/>
        <v>6</v>
      </c>
      <c r="S10" s="24">
        <f t="shared" si="2"/>
        <v>0</v>
      </c>
      <c r="T10" s="24">
        <f t="shared" si="3"/>
        <v>2</v>
      </c>
      <c r="U10" s="24">
        <f t="shared" si="4"/>
        <v>4</v>
      </c>
      <c r="V10" s="24">
        <f t="shared" si="5"/>
        <v>8</v>
      </c>
      <c r="W10" s="24">
        <f t="shared" si="6"/>
        <v>4</v>
      </c>
    </row>
    <row r="11" spans="1:24">
      <c r="C11" s="29" t="s">
        <v>7</v>
      </c>
      <c r="D11" s="29"/>
      <c r="E11" s="5">
        <v>7.0000000000000001E-3</v>
      </c>
      <c r="F11" s="6">
        <v>8.0000000000000002E-3</v>
      </c>
      <c r="G11" s="6">
        <v>8.9999999999999993E-3</v>
      </c>
      <c r="H11" s="6">
        <v>8.9999999999999993E-3</v>
      </c>
      <c r="I11" s="8"/>
      <c r="N11" s="24" t="s">
        <v>21</v>
      </c>
      <c r="O11" s="24">
        <v>6</v>
      </c>
      <c r="P11" s="24">
        <v>7</v>
      </c>
      <c r="Q11" s="24">
        <f t="shared" si="0"/>
        <v>5</v>
      </c>
      <c r="R11" s="24">
        <f t="shared" si="1"/>
        <v>6</v>
      </c>
      <c r="S11" s="24">
        <f t="shared" si="2"/>
        <v>0</v>
      </c>
      <c r="T11" s="24">
        <f t="shared" si="3"/>
        <v>1</v>
      </c>
      <c r="U11" s="24">
        <f t="shared" si="4"/>
        <v>5</v>
      </c>
      <c r="V11" s="24">
        <f t="shared" si="5"/>
        <v>7</v>
      </c>
      <c r="W11" s="24">
        <f t="shared" si="6"/>
        <v>5</v>
      </c>
    </row>
    <row r="12" spans="1:24">
      <c r="C12" s="29" t="s">
        <v>8</v>
      </c>
      <c r="D12" s="29"/>
      <c r="E12" s="4">
        <v>1E-3</v>
      </c>
      <c r="F12" s="6">
        <v>1E-3</v>
      </c>
      <c r="G12" s="6">
        <v>1E-3</v>
      </c>
      <c r="H12" s="6">
        <v>1E-3</v>
      </c>
      <c r="I12" s="8"/>
      <c r="N12" s="24" t="s">
        <v>22</v>
      </c>
      <c r="O12" s="24">
        <v>7</v>
      </c>
      <c r="P12" s="24">
        <v>6</v>
      </c>
      <c r="Q12" s="24">
        <f t="shared" si="0"/>
        <v>6</v>
      </c>
      <c r="R12" s="24">
        <f t="shared" si="1"/>
        <v>6</v>
      </c>
      <c r="S12" s="24">
        <f t="shared" si="2"/>
        <v>0</v>
      </c>
      <c r="T12" s="24">
        <f t="shared" si="3"/>
        <v>0</v>
      </c>
      <c r="U12" s="24">
        <f t="shared" si="4"/>
        <v>6</v>
      </c>
      <c r="V12" s="24">
        <f t="shared" si="5"/>
        <v>6</v>
      </c>
      <c r="W12" s="24">
        <f t="shared" si="6"/>
        <v>6</v>
      </c>
    </row>
    <row r="13" spans="1:24" s="9" customFormat="1">
      <c r="C13" s="31" t="s">
        <v>15</v>
      </c>
      <c r="D13" s="31"/>
      <c r="E13" s="12">
        <v>0.3</v>
      </c>
      <c r="F13" s="12">
        <v>0.30299999999999999</v>
      </c>
      <c r="G13" s="12">
        <v>0.30599999999999999</v>
      </c>
      <c r="H13" s="12">
        <f>SUM(H9:H12)</f>
        <v>0.31</v>
      </c>
      <c r="I13" s="2"/>
      <c r="J13" s="2"/>
      <c r="K13" s="1"/>
      <c r="L13" s="1"/>
      <c r="M13" s="13"/>
      <c r="N13" s="24" t="s">
        <v>23</v>
      </c>
      <c r="O13" s="24">
        <v>8</v>
      </c>
      <c r="P13" s="24">
        <v>5</v>
      </c>
      <c r="Q13" s="24">
        <f t="shared" si="0"/>
        <v>7</v>
      </c>
      <c r="R13" s="24">
        <f t="shared" si="1"/>
        <v>5</v>
      </c>
      <c r="S13" s="24">
        <f t="shared" si="2"/>
        <v>1</v>
      </c>
      <c r="T13" s="24">
        <f t="shared" si="3"/>
        <v>0</v>
      </c>
      <c r="U13" s="24">
        <f t="shared" si="4"/>
        <v>6</v>
      </c>
      <c r="V13" s="24">
        <f t="shared" si="5"/>
        <v>5</v>
      </c>
      <c r="W13" s="24">
        <f t="shared" si="6"/>
        <v>7</v>
      </c>
      <c r="X13" s="24"/>
    </row>
    <row r="14" spans="1:24">
      <c r="N14" s="24" t="s">
        <v>24</v>
      </c>
      <c r="O14" s="24">
        <v>9</v>
      </c>
      <c r="P14" s="24">
        <v>4</v>
      </c>
      <c r="Q14" s="24">
        <f t="shared" si="0"/>
        <v>8</v>
      </c>
      <c r="R14" s="24">
        <f t="shared" si="1"/>
        <v>4</v>
      </c>
      <c r="S14" s="24">
        <f t="shared" si="2"/>
        <v>2</v>
      </c>
      <c r="T14" s="24">
        <f t="shared" si="3"/>
        <v>0</v>
      </c>
      <c r="U14" s="24">
        <f t="shared" si="4"/>
        <v>6</v>
      </c>
      <c r="V14" s="24">
        <f t="shared" si="5"/>
        <v>4</v>
      </c>
      <c r="W14" s="24">
        <f t="shared" si="6"/>
        <v>8</v>
      </c>
    </row>
    <row r="15" spans="1:24">
      <c r="C15" s="2"/>
      <c r="D15" s="9"/>
      <c r="E15" s="32" t="s">
        <v>2</v>
      </c>
      <c r="F15" s="32"/>
      <c r="G15" s="32" t="s">
        <v>3</v>
      </c>
      <c r="H15" s="32"/>
      <c r="I15" s="33" t="s">
        <v>4</v>
      </c>
      <c r="J15" s="28"/>
      <c r="K15" s="32" t="str">
        <f>IF(E5="Resto","","cuarto tramo 12 meses")</f>
        <v>cuarto tramo 12 meses</v>
      </c>
      <c r="L15" s="32"/>
      <c r="N15" s="24" t="s">
        <v>25</v>
      </c>
      <c r="O15" s="24">
        <v>10</v>
      </c>
      <c r="P15" s="24">
        <v>3</v>
      </c>
      <c r="Q15" s="24">
        <f t="shared" si="0"/>
        <v>9</v>
      </c>
      <c r="R15" s="24">
        <f t="shared" si="1"/>
        <v>3</v>
      </c>
      <c r="S15" s="24">
        <f t="shared" si="2"/>
        <v>3</v>
      </c>
      <c r="T15" s="24">
        <f t="shared" si="3"/>
        <v>0</v>
      </c>
      <c r="U15" s="24">
        <f t="shared" si="4"/>
        <v>6</v>
      </c>
      <c r="V15" s="24">
        <f t="shared" si="5"/>
        <v>3</v>
      </c>
      <c r="W15" s="24">
        <f t="shared" si="6"/>
        <v>9</v>
      </c>
    </row>
    <row r="16" spans="1:24">
      <c r="B16" s="38" t="s">
        <v>34</v>
      </c>
      <c r="C16" s="34" t="s">
        <v>12</v>
      </c>
      <c r="D16" s="34"/>
      <c r="E16" s="20">
        <v>2019</v>
      </c>
      <c r="F16" s="18">
        <v>2020</v>
      </c>
      <c r="G16" s="18">
        <v>2020</v>
      </c>
      <c r="H16" s="18">
        <v>2021</v>
      </c>
      <c r="I16" s="18">
        <v>2020</v>
      </c>
      <c r="J16" s="18">
        <v>2021</v>
      </c>
      <c r="K16" s="18">
        <f>IF(E5="Resto","",2021)</f>
        <v>2021</v>
      </c>
      <c r="L16" s="18">
        <f>IF(E5="Resto","",2022)</f>
        <v>2022</v>
      </c>
      <c r="N16" s="24" t="s">
        <v>26</v>
      </c>
      <c r="O16" s="24">
        <v>11</v>
      </c>
      <c r="P16" s="24">
        <v>2</v>
      </c>
      <c r="Q16" s="24">
        <f t="shared" si="0"/>
        <v>10</v>
      </c>
      <c r="R16" s="24">
        <f t="shared" si="1"/>
        <v>2</v>
      </c>
      <c r="S16" s="24">
        <f t="shared" si="2"/>
        <v>4</v>
      </c>
      <c r="T16" s="24">
        <f t="shared" si="3"/>
        <v>0</v>
      </c>
      <c r="U16" s="24">
        <f t="shared" si="4"/>
        <v>6</v>
      </c>
      <c r="V16" s="24">
        <f t="shared" si="5"/>
        <v>2</v>
      </c>
      <c r="W16" s="24">
        <f t="shared" si="6"/>
        <v>10</v>
      </c>
    </row>
    <row r="17" spans="2:24">
      <c r="B17" s="38"/>
      <c r="C17" s="29" t="s">
        <v>14</v>
      </c>
      <c r="D17" s="29"/>
      <c r="E17" s="14">
        <f>+E3*(P21+P22+P23)+(E3*P20)*0.2</f>
        <v>0</v>
      </c>
      <c r="F17" s="15">
        <f>+F3*(Q21+Q22+Q23)+(E3*Q20)*0.2</f>
        <v>0</v>
      </c>
      <c r="G17" s="15">
        <f>+F3*(H10+H11+H12)+F3*H9*0.5</f>
        <v>0</v>
      </c>
      <c r="H17" s="15">
        <f>+G3*(G10+G11+G12)+G3*G9*0.5</f>
        <v>0</v>
      </c>
      <c r="I17" s="15">
        <f>+F3*(F10+F11+F12)+F3*F9*0.8</f>
        <v>0</v>
      </c>
      <c r="J17" s="15">
        <f>+G3*(G10+G11+G12)+G3*G9*0.8</f>
        <v>0</v>
      </c>
      <c r="K17" s="15">
        <f>IF(E5="Resto","",G3*(G10+G11+G12)+G3*G9*0.8)</f>
        <v>0</v>
      </c>
      <c r="L17" s="15">
        <f>IF(E5="Resto","",H3*(H10+H11+H12)+H3*H9*0.8)</f>
        <v>0</v>
      </c>
      <c r="N17" s="24" t="s">
        <v>27</v>
      </c>
      <c r="O17" s="24">
        <v>12</v>
      </c>
      <c r="P17" s="24">
        <v>1</v>
      </c>
      <c r="Q17" s="24">
        <f t="shared" si="0"/>
        <v>11</v>
      </c>
      <c r="R17" s="24">
        <f t="shared" si="1"/>
        <v>1</v>
      </c>
      <c r="S17" s="24">
        <f t="shared" si="2"/>
        <v>5</v>
      </c>
      <c r="T17" s="24">
        <f t="shared" si="3"/>
        <v>0</v>
      </c>
      <c r="U17" s="24">
        <f t="shared" si="4"/>
        <v>6</v>
      </c>
      <c r="V17" s="24">
        <f t="shared" si="5"/>
        <v>1</v>
      </c>
      <c r="W17" s="24">
        <f t="shared" si="6"/>
        <v>11</v>
      </c>
    </row>
    <row r="18" spans="2:24">
      <c r="B18" s="38"/>
      <c r="C18" s="29" t="s">
        <v>13</v>
      </c>
      <c r="D18" s="29"/>
      <c r="E18" s="11" t="e">
        <f>VLOOKUP(E4,N6:Q17,3,0)</f>
        <v>#N/A</v>
      </c>
      <c r="F18" s="3" t="e">
        <f>VLOOKUP(E4,N6:Q17,4,0)</f>
        <v>#N/A</v>
      </c>
      <c r="G18" s="3" t="e">
        <f>VLOOKUP(E4,N6:R17,5,0)</f>
        <v>#N/A</v>
      </c>
      <c r="H18" s="3" t="e">
        <f>VLOOKUP(E4,N6:S17,6,0)</f>
        <v>#N/A</v>
      </c>
      <c r="I18" s="3" t="e">
        <f>VLOOKUP(E4,N6:T17,7,0)</f>
        <v>#N/A</v>
      </c>
      <c r="J18" s="3" t="e">
        <f>VLOOKUP(E4,N6:U17,8,0)</f>
        <v>#N/A</v>
      </c>
      <c r="K18" s="3" t="e">
        <f>IF(E5="Resto","",VLOOKUP(E4,N6:V17,9,0))</f>
        <v>#N/A</v>
      </c>
      <c r="L18" s="3" t="e">
        <f>IF(E5="Resto","",VLOOKUP(E4,N6:W17,10,0))</f>
        <v>#N/A</v>
      </c>
    </row>
    <row r="19" spans="2:24">
      <c r="B19" s="39"/>
      <c r="D19" s="2"/>
      <c r="P19" s="24" t="s">
        <v>28</v>
      </c>
      <c r="Q19" s="24" t="s">
        <v>29</v>
      </c>
    </row>
    <row r="20" spans="2:24" s="22" customFormat="1">
      <c r="B20" s="40"/>
      <c r="C20" s="21"/>
      <c r="D20" s="9"/>
      <c r="E20" s="33" t="s">
        <v>30</v>
      </c>
      <c r="F20" s="27"/>
      <c r="G20" s="27"/>
      <c r="H20" s="27" t="s">
        <v>31</v>
      </c>
      <c r="I20" s="27"/>
      <c r="J20" s="28"/>
      <c r="K20" s="13"/>
      <c r="L20" s="13"/>
      <c r="N20" s="24"/>
      <c r="O20" s="24"/>
      <c r="P20" s="58">
        <v>0.28299999999999997</v>
      </c>
      <c r="Q20" s="58">
        <v>0.28299999999999997</v>
      </c>
      <c r="R20" s="58"/>
      <c r="S20" s="24"/>
      <c r="T20" s="24"/>
      <c r="U20" s="24"/>
      <c r="V20" s="24"/>
      <c r="W20" s="24"/>
      <c r="X20" s="56"/>
    </row>
    <row r="21" spans="2:24" s="22" customFormat="1">
      <c r="B21" s="38" t="s">
        <v>35</v>
      </c>
      <c r="C21" s="34" t="s">
        <v>12</v>
      </c>
      <c r="D21" s="34"/>
      <c r="E21" s="20">
        <v>2019</v>
      </c>
      <c r="F21" s="18">
        <v>2020</v>
      </c>
      <c r="G21" s="18">
        <v>2021</v>
      </c>
      <c r="H21" s="18">
        <v>2020</v>
      </c>
      <c r="I21" s="18">
        <v>2021</v>
      </c>
      <c r="J21" s="18">
        <v>2022</v>
      </c>
      <c r="K21" s="13"/>
      <c r="L21" s="13"/>
      <c r="N21" s="24"/>
      <c r="O21" s="24"/>
      <c r="P21" s="58">
        <v>8.9999999999999993E-3</v>
      </c>
      <c r="Q21" s="58">
        <v>1.0999999999999999E-2</v>
      </c>
      <c r="R21" s="58"/>
      <c r="S21" s="24"/>
      <c r="T21" s="24"/>
      <c r="U21" s="24"/>
      <c r="V21" s="24"/>
      <c r="W21" s="24"/>
      <c r="X21" s="56"/>
    </row>
    <row r="22" spans="2:24" s="22" customFormat="1">
      <c r="B22" s="38"/>
      <c r="C22" s="29" t="s">
        <v>14</v>
      </c>
      <c r="D22" s="29"/>
      <c r="E22" s="14" t="e">
        <f>(VLOOKUP($E$6,$P$47:$S$49,2,0))*E13</f>
        <v>#N/A</v>
      </c>
      <c r="F22" s="14" t="e">
        <f>(VLOOKUP($E$6,$P$47:$S$49,3,0))*F13</f>
        <v>#N/A</v>
      </c>
      <c r="G22" s="14" t="e">
        <f>(VLOOKUP($E$6,$P$47:$S$49,4,0))*G13</f>
        <v>#N/A</v>
      </c>
      <c r="H22" s="14" t="e">
        <f>(VLOOKUP($E$6,$P$47:$V$49,5,0))*F13</f>
        <v>#N/A</v>
      </c>
      <c r="I22" s="14" t="e">
        <f>(VLOOKUP($E$6,$P$47:$V$49,6,0))*G13</f>
        <v>#N/A</v>
      </c>
      <c r="J22" s="14" t="e">
        <f>(VLOOKUP($E$6,$P$47:$V$49,7,0))*H13</f>
        <v>#N/A</v>
      </c>
      <c r="K22" s="13"/>
      <c r="L22" s="13"/>
      <c r="N22" s="24"/>
      <c r="O22" s="24"/>
      <c r="P22" s="24">
        <f>IF(I11="SÍ",E11,0)</f>
        <v>0</v>
      </c>
      <c r="Q22" s="24">
        <f>IF(I11="SÍ",F11,0)</f>
        <v>0</v>
      </c>
      <c r="R22" s="24"/>
      <c r="S22" s="24"/>
      <c r="T22" s="24"/>
      <c r="U22" s="24"/>
      <c r="V22" s="24"/>
      <c r="W22" s="24"/>
      <c r="X22" s="56"/>
    </row>
    <row r="23" spans="2:24" s="22" customFormat="1">
      <c r="B23" s="38"/>
      <c r="C23" s="29" t="s">
        <v>13</v>
      </c>
      <c r="D23" s="29"/>
      <c r="E23" s="11" t="e">
        <f>VLOOKUP($E$4,$N$28:$U$39,3,0)</f>
        <v>#N/A</v>
      </c>
      <c r="F23" s="11" t="e">
        <f>VLOOKUP($E$4,$N$28:$U$39,4,0)</f>
        <v>#N/A</v>
      </c>
      <c r="G23" s="11" t="e">
        <f>VLOOKUP($E$4,$N$28:$U$39,5,0)</f>
        <v>#N/A</v>
      </c>
      <c r="H23" s="11" t="e">
        <f>VLOOKUP($E$4,$N$28:$U$39,6,0)</f>
        <v>#N/A</v>
      </c>
      <c r="I23" s="11" t="e">
        <f>VLOOKUP($E$4,$N$28:$U$39,7,0)</f>
        <v>#N/A</v>
      </c>
      <c r="J23" s="11" t="e">
        <f>VLOOKUP($E$4,$N$28:$U$39,8,0)</f>
        <v>#N/A</v>
      </c>
      <c r="K23" s="13"/>
      <c r="L23" s="13"/>
      <c r="N23" s="24"/>
      <c r="O23" s="24"/>
      <c r="P23" s="24">
        <f>IF(I12="SÍ",E12,0)</f>
        <v>0</v>
      </c>
      <c r="Q23" s="24">
        <f>IF(I12="SÍ",F12,0)</f>
        <v>0</v>
      </c>
      <c r="R23" s="24"/>
      <c r="S23" s="24"/>
      <c r="T23" s="24"/>
      <c r="U23" s="24"/>
      <c r="V23" s="24"/>
      <c r="W23" s="24"/>
      <c r="X23" s="56"/>
    </row>
    <row r="24" spans="2:24" s="22" customFormat="1" ht="15" customHeight="1">
      <c r="M24" s="13"/>
      <c r="N24" s="24"/>
      <c r="O24" s="56"/>
      <c r="P24" s="56"/>
      <c r="Q24" s="56"/>
      <c r="R24" s="56"/>
      <c r="S24" s="56"/>
      <c r="T24" s="56"/>
      <c r="U24" s="56"/>
      <c r="V24" s="56"/>
      <c r="W24" s="56"/>
      <c r="X24" s="56"/>
    </row>
    <row r="25" spans="2:24" s="49" customFormat="1" hidden="1">
      <c r="E25" s="49" t="s">
        <v>34</v>
      </c>
      <c r="F25" s="49" t="s">
        <v>35</v>
      </c>
      <c r="G25" s="50"/>
      <c r="H25" s="50"/>
    </row>
    <row r="26" spans="2:24" s="49" customFormat="1" hidden="1">
      <c r="C26" s="49" t="s">
        <v>38</v>
      </c>
      <c r="D26" s="49">
        <v>2019</v>
      </c>
      <c r="E26" s="51" t="e">
        <f>+E17*E18</f>
        <v>#N/A</v>
      </c>
      <c r="F26" s="51" t="e">
        <f>+E22*E23</f>
        <v>#N/A</v>
      </c>
      <c r="P26" s="52" t="s">
        <v>30</v>
      </c>
      <c r="Q26" s="52"/>
      <c r="R26" s="52"/>
      <c r="S26" s="52" t="s">
        <v>31</v>
      </c>
      <c r="T26" s="52"/>
      <c r="U26" s="52"/>
      <c r="V26" s="53"/>
      <c r="W26" s="53"/>
    </row>
    <row r="27" spans="2:24" s="49" customFormat="1" hidden="1">
      <c r="D27" s="49">
        <v>2020</v>
      </c>
      <c r="E27" s="51" t="e">
        <f>+F17*F18+G17*G18+I17*I18</f>
        <v>#N/A</v>
      </c>
      <c r="F27" s="51" t="e">
        <f>+F22*F23+H22*H23</f>
        <v>#N/A</v>
      </c>
      <c r="P27" s="49">
        <v>2019</v>
      </c>
      <c r="Q27" s="49">
        <v>2020</v>
      </c>
      <c r="R27" s="49">
        <v>2021</v>
      </c>
      <c r="S27" s="49">
        <v>2020</v>
      </c>
      <c r="T27" s="49">
        <v>2021</v>
      </c>
      <c r="U27" s="49">
        <v>2022</v>
      </c>
    </row>
    <row r="28" spans="2:24" s="49" customFormat="1" hidden="1">
      <c r="D28" s="49">
        <v>2021</v>
      </c>
      <c r="E28" s="51" t="e">
        <f>+H17*H18+J17*J18+K17*K18</f>
        <v>#N/A</v>
      </c>
      <c r="F28" s="51" t="e">
        <f>+G22*G23+I22*I23</f>
        <v>#N/A</v>
      </c>
      <c r="N28" s="49" t="s">
        <v>16</v>
      </c>
      <c r="O28" s="49">
        <v>1</v>
      </c>
      <c r="P28" s="49">
        <v>12</v>
      </c>
      <c r="Q28" s="49">
        <f>18-P28</f>
        <v>6</v>
      </c>
      <c r="R28" s="49">
        <f>18-P28-Q28</f>
        <v>0</v>
      </c>
      <c r="S28" s="49">
        <f>12-Q28</f>
        <v>6</v>
      </c>
      <c r="T28" s="49">
        <f>12-R28</f>
        <v>12</v>
      </c>
      <c r="U28" s="49">
        <f>18-T28-S28</f>
        <v>0</v>
      </c>
    </row>
    <row r="29" spans="2:24" s="49" customFormat="1" hidden="1">
      <c r="D29" s="49">
        <v>2022</v>
      </c>
      <c r="E29" s="51" t="e">
        <f>+I17*I18+L17*L18</f>
        <v>#N/A</v>
      </c>
      <c r="F29" s="51" t="e">
        <f>+J22*J23</f>
        <v>#N/A</v>
      </c>
      <c r="N29" s="49" t="s">
        <v>17</v>
      </c>
      <c r="O29" s="49">
        <v>2</v>
      </c>
      <c r="P29" s="49">
        <v>11</v>
      </c>
      <c r="Q29" s="49">
        <f t="shared" ref="Q29:Q34" si="7">18-P29</f>
        <v>7</v>
      </c>
      <c r="R29" s="49">
        <f t="shared" ref="R29:R39" si="8">18-P29-Q29</f>
        <v>0</v>
      </c>
      <c r="S29" s="49">
        <f t="shared" ref="S29:S39" si="9">12-Q29</f>
        <v>5</v>
      </c>
      <c r="T29" s="49">
        <f t="shared" ref="T29:T39" si="10">12-R29</f>
        <v>12</v>
      </c>
      <c r="U29" s="49">
        <f t="shared" ref="U29:U39" si="11">18-T29-S29</f>
        <v>1</v>
      </c>
    </row>
    <row r="30" spans="2:24" s="49" customFormat="1" hidden="1">
      <c r="E30" s="51" t="e">
        <f>SUM(E26:E29)</f>
        <v>#N/A</v>
      </c>
      <c r="F30" s="51" t="e">
        <f>SUM(F26:F29)</f>
        <v>#N/A</v>
      </c>
      <c r="N30" s="49" t="s">
        <v>18</v>
      </c>
      <c r="O30" s="49">
        <v>3</v>
      </c>
      <c r="P30" s="49">
        <v>10</v>
      </c>
      <c r="Q30" s="49">
        <f t="shared" si="7"/>
        <v>8</v>
      </c>
      <c r="R30" s="49">
        <f t="shared" si="8"/>
        <v>0</v>
      </c>
      <c r="S30" s="49">
        <f t="shared" si="9"/>
        <v>4</v>
      </c>
      <c r="T30" s="49">
        <f t="shared" si="10"/>
        <v>12</v>
      </c>
      <c r="U30" s="49">
        <f t="shared" si="11"/>
        <v>2</v>
      </c>
    </row>
    <row r="31" spans="2:24" s="49" customFormat="1" hidden="1">
      <c r="N31" s="49" t="s">
        <v>19</v>
      </c>
      <c r="O31" s="49">
        <v>4</v>
      </c>
      <c r="P31" s="49">
        <v>9</v>
      </c>
      <c r="Q31" s="49">
        <f t="shared" si="7"/>
        <v>9</v>
      </c>
      <c r="R31" s="49">
        <f t="shared" si="8"/>
        <v>0</v>
      </c>
      <c r="S31" s="49">
        <f t="shared" si="9"/>
        <v>3</v>
      </c>
      <c r="T31" s="49">
        <f t="shared" si="10"/>
        <v>12</v>
      </c>
      <c r="U31" s="49">
        <f t="shared" si="11"/>
        <v>3</v>
      </c>
    </row>
    <row r="32" spans="2:24" s="49" customFormat="1" hidden="1">
      <c r="N32" s="49" t="s">
        <v>20</v>
      </c>
      <c r="O32" s="49">
        <v>5</v>
      </c>
      <c r="P32" s="49">
        <v>8</v>
      </c>
      <c r="Q32" s="49">
        <f t="shared" si="7"/>
        <v>10</v>
      </c>
      <c r="R32" s="49">
        <f t="shared" si="8"/>
        <v>0</v>
      </c>
      <c r="S32" s="49">
        <f t="shared" si="9"/>
        <v>2</v>
      </c>
      <c r="T32" s="49">
        <f t="shared" si="10"/>
        <v>12</v>
      </c>
      <c r="U32" s="49">
        <f t="shared" si="11"/>
        <v>4</v>
      </c>
    </row>
    <row r="33" spans="14:22" s="49" customFormat="1" hidden="1">
      <c r="N33" s="49" t="s">
        <v>21</v>
      </c>
      <c r="O33" s="49">
        <v>6</v>
      </c>
      <c r="P33" s="49">
        <v>7</v>
      </c>
      <c r="Q33" s="49">
        <f t="shared" si="7"/>
        <v>11</v>
      </c>
      <c r="R33" s="49">
        <f t="shared" si="8"/>
        <v>0</v>
      </c>
      <c r="S33" s="49">
        <f t="shared" si="9"/>
        <v>1</v>
      </c>
      <c r="T33" s="49">
        <f t="shared" si="10"/>
        <v>12</v>
      </c>
      <c r="U33" s="49">
        <f t="shared" si="11"/>
        <v>5</v>
      </c>
    </row>
    <row r="34" spans="14:22" s="49" customFormat="1" hidden="1">
      <c r="N34" s="49" t="s">
        <v>22</v>
      </c>
      <c r="O34" s="49">
        <v>7</v>
      </c>
      <c r="P34" s="49">
        <v>6</v>
      </c>
      <c r="Q34" s="49">
        <f t="shared" si="7"/>
        <v>12</v>
      </c>
      <c r="R34" s="49">
        <f t="shared" si="8"/>
        <v>0</v>
      </c>
      <c r="S34" s="49">
        <f t="shared" si="9"/>
        <v>0</v>
      </c>
      <c r="T34" s="49">
        <f t="shared" si="10"/>
        <v>12</v>
      </c>
      <c r="U34" s="49">
        <f t="shared" si="11"/>
        <v>6</v>
      </c>
    </row>
    <row r="35" spans="14:22" s="49" customFormat="1" hidden="1">
      <c r="N35" s="49" t="s">
        <v>23</v>
      </c>
      <c r="O35" s="49">
        <v>8</v>
      </c>
      <c r="P35" s="49">
        <v>5</v>
      </c>
      <c r="Q35" s="49">
        <v>12</v>
      </c>
      <c r="R35" s="49">
        <f t="shared" si="8"/>
        <v>1</v>
      </c>
      <c r="S35" s="49">
        <f t="shared" si="9"/>
        <v>0</v>
      </c>
      <c r="T35" s="49">
        <f t="shared" si="10"/>
        <v>11</v>
      </c>
      <c r="U35" s="49">
        <f t="shared" si="11"/>
        <v>7</v>
      </c>
    </row>
    <row r="36" spans="14:22" s="49" customFormat="1" hidden="1">
      <c r="N36" s="49" t="s">
        <v>24</v>
      </c>
      <c r="O36" s="49">
        <v>9</v>
      </c>
      <c r="P36" s="49">
        <v>4</v>
      </c>
      <c r="Q36" s="49">
        <v>12</v>
      </c>
      <c r="R36" s="49">
        <f t="shared" si="8"/>
        <v>2</v>
      </c>
      <c r="S36" s="49">
        <f t="shared" si="9"/>
        <v>0</v>
      </c>
      <c r="T36" s="49">
        <f t="shared" si="10"/>
        <v>10</v>
      </c>
      <c r="U36" s="49">
        <f t="shared" si="11"/>
        <v>8</v>
      </c>
    </row>
    <row r="37" spans="14:22" s="49" customFormat="1" hidden="1">
      <c r="N37" s="49" t="s">
        <v>25</v>
      </c>
      <c r="O37" s="49">
        <v>10</v>
      </c>
      <c r="P37" s="49">
        <v>3</v>
      </c>
      <c r="Q37" s="49">
        <v>12</v>
      </c>
      <c r="R37" s="49">
        <f t="shared" si="8"/>
        <v>3</v>
      </c>
      <c r="S37" s="49">
        <f t="shared" si="9"/>
        <v>0</v>
      </c>
      <c r="T37" s="49">
        <f t="shared" si="10"/>
        <v>9</v>
      </c>
      <c r="U37" s="49">
        <f t="shared" si="11"/>
        <v>9</v>
      </c>
    </row>
    <row r="38" spans="14:22" s="49" customFormat="1" hidden="1">
      <c r="N38" s="49" t="s">
        <v>26</v>
      </c>
      <c r="O38" s="49">
        <v>11</v>
      </c>
      <c r="P38" s="49">
        <v>2</v>
      </c>
      <c r="Q38" s="49">
        <v>12</v>
      </c>
      <c r="R38" s="49">
        <f t="shared" si="8"/>
        <v>4</v>
      </c>
      <c r="S38" s="49">
        <f t="shared" si="9"/>
        <v>0</v>
      </c>
      <c r="T38" s="49">
        <f t="shared" si="10"/>
        <v>8</v>
      </c>
      <c r="U38" s="49">
        <f t="shared" si="11"/>
        <v>10</v>
      </c>
    </row>
    <row r="39" spans="14:22" s="49" customFormat="1" hidden="1">
      <c r="N39" s="49" t="s">
        <v>27</v>
      </c>
      <c r="O39" s="49">
        <v>12</v>
      </c>
      <c r="P39" s="49">
        <v>1</v>
      </c>
      <c r="Q39" s="49">
        <v>12</v>
      </c>
      <c r="R39" s="49">
        <f t="shared" si="8"/>
        <v>5</v>
      </c>
      <c r="S39" s="49">
        <f t="shared" si="9"/>
        <v>0</v>
      </c>
      <c r="T39" s="49">
        <f t="shared" si="10"/>
        <v>7</v>
      </c>
      <c r="U39" s="49">
        <f t="shared" si="11"/>
        <v>11</v>
      </c>
    </row>
    <row r="40" spans="14:22" s="49" customFormat="1" hidden="1"/>
    <row r="41" spans="14:22" s="49" customFormat="1" hidden="1">
      <c r="O41" s="49">
        <v>0.5</v>
      </c>
      <c r="P41" s="49">
        <f>+$E$3*O41*$E$13</f>
        <v>0</v>
      </c>
      <c r="Q41" s="49">
        <f>+$F$3*$F$13*O41</f>
        <v>0</v>
      </c>
      <c r="R41" s="49">
        <f>+$G$3*$G$13*O41</f>
        <v>0</v>
      </c>
      <c r="U41" s="49">
        <f>+$H$3*$H$13*O41</f>
        <v>0</v>
      </c>
    </row>
    <row r="42" spans="14:22" s="49" customFormat="1" hidden="1">
      <c r="O42" s="49">
        <v>0.75</v>
      </c>
      <c r="P42" s="49">
        <f>+$E$3*O42*$E$13</f>
        <v>0</v>
      </c>
      <c r="Q42" s="49">
        <f>+$F$3*$F$13*O42</f>
        <v>0</v>
      </c>
      <c r="R42" s="49">
        <f>+$G$3*$G$13*O42</f>
        <v>0</v>
      </c>
      <c r="U42" s="49">
        <f>+$H$3*$H$13*O42</f>
        <v>0</v>
      </c>
    </row>
    <row r="43" spans="14:22" s="49" customFormat="1" hidden="1">
      <c r="O43" s="49">
        <v>0.85</v>
      </c>
      <c r="P43" s="49">
        <f>+$E$3*O43*$E$13</f>
        <v>0</v>
      </c>
      <c r="Q43" s="49">
        <f>+$F$3*$F$13*O43</f>
        <v>0</v>
      </c>
      <c r="R43" s="49">
        <f>+$G$3*$G$13*O43</f>
        <v>0</v>
      </c>
      <c r="U43" s="49">
        <f>+$H$3*$H$13*O43</f>
        <v>0</v>
      </c>
    </row>
    <row r="44" spans="14:22" s="49" customFormat="1" hidden="1"/>
    <row r="45" spans="14:22" s="49" customFormat="1" hidden="1"/>
    <row r="46" spans="14:22" s="49" customFormat="1" hidden="1">
      <c r="Q46" s="49">
        <v>2019</v>
      </c>
      <c r="R46" s="49">
        <v>2020</v>
      </c>
      <c r="S46" s="49">
        <v>2021</v>
      </c>
      <c r="T46" s="49">
        <v>2020</v>
      </c>
      <c r="U46" s="49">
        <v>2021</v>
      </c>
      <c r="V46" s="49">
        <v>2020</v>
      </c>
    </row>
    <row r="47" spans="14:22" s="49" customFormat="1" hidden="1">
      <c r="P47" s="54" t="s">
        <v>33</v>
      </c>
      <c r="Q47" s="55">
        <f>+E3</f>
        <v>0</v>
      </c>
      <c r="R47" s="55">
        <f>+F3</f>
        <v>0</v>
      </c>
      <c r="S47" s="55">
        <f>+G3</f>
        <v>0</v>
      </c>
      <c r="T47" s="55">
        <f>+R47</f>
        <v>0</v>
      </c>
      <c r="U47" s="55">
        <f>+R47</f>
        <v>0</v>
      </c>
      <c r="V47" s="55">
        <f>+H3</f>
        <v>0</v>
      </c>
    </row>
    <row r="48" spans="14:22" s="49" customFormat="1" hidden="1">
      <c r="P48" s="54" t="s">
        <v>36</v>
      </c>
      <c r="Q48" s="49">
        <f>+E3*0.75</f>
        <v>0</v>
      </c>
      <c r="R48" s="49">
        <f>+F3*0.75</f>
        <v>0</v>
      </c>
      <c r="S48" s="49">
        <f>+G3*0.75</f>
        <v>0</v>
      </c>
      <c r="T48" s="49">
        <f>+F3*0.85</f>
        <v>0</v>
      </c>
      <c r="U48" s="49">
        <f>+G3*0.85</f>
        <v>0</v>
      </c>
      <c r="V48" s="49">
        <f>+H3*0.85</f>
        <v>0</v>
      </c>
    </row>
    <row r="49" spans="3:22" s="49" customFormat="1" hidden="1">
      <c r="P49" s="54" t="s">
        <v>37</v>
      </c>
      <c r="Q49" s="49">
        <f>+E3*0.5</f>
        <v>0</v>
      </c>
      <c r="R49" s="49">
        <f>+F3*0.5</f>
        <v>0</v>
      </c>
      <c r="S49" s="49">
        <f>+G3*0.5</f>
        <v>0</v>
      </c>
      <c r="T49" s="49">
        <f>+F3*0.75</f>
        <v>0</v>
      </c>
      <c r="U49" s="49">
        <f>+G3*0.75</f>
        <v>0</v>
      </c>
      <c r="V49" s="49">
        <f>+H3*0.75</f>
        <v>0</v>
      </c>
    </row>
    <row r="50" spans="3:22" s="49" customFormat="1" hidden="1"/>
    <row r="51" spans="3:22" s="49" customFormat="1" hidden="1"/>
    <row r="52" spans="3:22" s="49" customFormat="1" hidden="1"/>
    <row r="53" spans="3:22" s="49" customFormat="1" hidden="1"/>
    <row r="54" spans="3:22">
      <c r="C54" s="22"/>
      <c r="D54" s="22"/>
      <c r="E54" s="22"/>
      <c r="F54" s="22"/>
      <c r="G54" s="22"/>
      <c r="H54" s="22"/>
      <c r="I54" s="22"/>
      <c r="J54" s="22"/>
      <c r="K54" s="22"/>
      <c r="L54" s="22"/>
    </row>
  </sheetData>
  <mergeCells count="30">
    <mergeCell ref="P26:R26"/>
    <mergeCell ref="S26:U26"/>
    <mergeCell ref="C3:D3"/>
    <mergeCell ref="C4:D4"/>
    <mergeCell ref="C5:D5"/>
    <mergeCell ref="I15:J15"/>
    <mergeCell ref="C16:D16"/>
    <mergeCell ref="E5:F5"/>
    <mergeCell ref="C21:D21"/>
    <mergeCell ref="C22:D22"/>
    <mergeCell ref="C23:D23"/>
    <mergeCell ref="E20:G20"/>
    <mergeCell ref="V4:W4"/>
    <mergeCell ref="K15:L15"/>
    <mergeCell ref="C17:D17"/>
    <mergeCell ref="C18:D18"/>
    <mergeCell ref="P4:Q4"/>
    <mergeCell ref="R4:S4"/>
    <mergeCell ref="E15:F15"/>
    <mergeCell ref="G15:H15"/>
    <mergeCell ref="H20:J20"/>
    <mergeCell ref="C6:D6"/>
    <mergeCell ref="E6:F6"/>
    <mergeCell ref="B16:B18"/>
    <mergeCell ref="B21:B23"/>
    <mergeCell ref="C9:D9"/>
    <mergeCell ref="C10:D10"/>
    <mergeCell ref="C11:D11"/>
    <mergeCell ref="C12:D12"/>
    <mergeCell ref="C13:D13"/>
  </mergeCells>
  <dataValidations count="4">
    <dataValidation type="list" allowBlank="1" showInputMessage="1" showErrorMessage="1" sqref="I11:I12">
      <formula1>"Sí,No"</formula1>
    </dataValidation>
    <dataValidation type="list" allowBlank="1" showInputMessage="1" showErrorMessage="1" sqref="E5">
      <formula1>"Hombre&lt;30 años,Mujer&lt;35 años,Resto"</formula1>
    </dataValidation>
    <dataValidation type="list" allowBlank="1" showInputMessage="1" showErrorMessage="1" sqref="E4">
      <formula1>$N$6:$N$17</formula1>
    </dataValidation>
    <dataValidation type="list" allowBlank="1" showInputMessage="1" showErrorMessage="1" sqref="E6:F6">
      <formula1>"&lt;50%,&gt;=50%&lt;100%,100%"</formula1>
    </dataValidation>
  </dataValidations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E8"/>
  <sheetViews>
    <sheetView workbookViewId="0">
      <selection activeCell="G33" sqref="G33"/>
    </sheetView>
  </sheetViews>
  <sheetFormatPr baseColWidth="10" defaultRowHeight="15"/>
  <cols>
    <col min="1" max="1" width="5" style="21" customWidth="1"/>
    <col min="2" max="2" width="5.28515625" style="21" customWidth="1"/>
    <col min="3" max="3" width="10.42578125" style="21" bestFit="1" customWidth="1"/>
    <col min="4" max="4" width="12.28515625" style="21" bestFit="1" customWidth="1"/>
    <col min="5" max="16384" width="11.42578125" style="21"/>
  </cols>
  <sheetData>
    <row r="2" spans="1:5">
      <c r="C2" s="44"/>
      <c r="D2" s="44"/>
    </row>
    <row r="3" spans="1:5">
      <c r="B3" s="47" t="s">
        <v>12</v>
      </c>
      <c r="C3" s="48" t="s">
        <v>39</v>
      </c>
      <c r="D3" s="47" t="s">
        <v>40</v>
      </c>
      <c r="E3" s="47" t="s">
        <v>42</v>
      </c>
    </row>
    <row r="4" spans="1:5">
      <c r="A4" s="41"/>
      <c r="B4" s="46">
        <v>2019</v>
      </c>
      <c r="C4" s="60">
        <f>+'Tarifa plana'!E17</f>
        <v>0</v>
      </c>
      <c r="D4" s="60" t="e">
        <f>+'Tarifa plana'!E22</f>
        <v>#N/A</v>
      </c>
      <c r="E4" s="59" t="e">
        <f>+C4-D4</f>
        <v>#N/A</v>
      </c>
    </row>
    <row r="5" spans="1:5">
      <c r="A5" s="41"/>
      <c r="B5" s="45">
        <v>2020</v>
      </c>
      <c r="C5" s="60">
        <f>+'Tarifa plana'!F17+'Tarifa plana'!G17+'Tarifa plana'!I17</f>
        <v>0</v>
      </c>
      <c r="D5" s="60" t="e">
        <f>+'Tarifa plana'!F22+'Tarifa plana'!H22</f>
        <v>#N/A</v>
      </c>
      <c r="E5" s="59" t="e">
        <f t="shared" ref="E5:E8" si="0">+C5-D5</f>
        <v>#N/A</v>
      </c>
    </row>
    <row r="6" spans="1:5">
      <c r="A6" s="41"/>
      <c r="B6" s="45">
        <v>2021</v>
      </c>
      <c r="C6" s="60">
        <f>+'Tarifa plana'!H17+'Tarifa plana'!J17</f>
        <v>0</v>
      </c>
      <c r="D6" s="60" t="e">
        <f>+'Tarifa plana'!G22+'Tarifa plana'!I22</f>
        <v>#N/A</v>
      </c>
      <c r="E6" s="59" t="e">
        <f t="shared" si="0"/>
        <v>#N/A</v>
      </c>
    </row>
    <row r="7" spans="1:5">
      <c r="A7" s="41"/>
      <c r="B7" s="45">
        <v>2022</v>
      </c>
      <c r="C7" s="60">
        <f>+'Tarifa plana'!L17</f>
        <v>0</v>
      </c>
      <c r="D7" s="60" t="e">
        <f>+'Tarifa plana'!J22</f>
        <v>#N/A</v>
      </c>
      <c r="E7" s="59" t="e">
        <f t="shared" si="0"/>
        <v>#N/A</v>
      </c>
    </row>
    <row r="8" spans="1:5">
      <c r="B8" s="43" t="s">
        <v>41</v>
      </c>
      <c r="C8" s="42">
        <f>SUM(C4:C7)</f>
        <v>0</v>
      </c>
      <c r="D8" s="42" t="e">
        <f>SUM(D4:D7)</f>
        <v>#N/A</v>
      </c>
      <c r="E8" s="42" t="e">
        <f t="shared" si="0"/>
        <v>#N/A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Tarifa plana</vt:lpstr>
      <vt:lpstr>Comparativa por años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Carmen</cp:lastModifiedBy>
  <dcterms:created xsi:type="dcterms:W3CDTF">2019-01-21T15:25:56Z</dcterms:created>
  <dcterms:modified xsi:type="dcterms:W3CDTF">2019-02-25T16:54:06Z</dcterms:modified>
</cp:coreProperties>
</file>